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395" yWindow="-15" windowWidth="8010" windowHeight="8340"/>
  </bookViews>
  <sheets>
    <sheet name="Capital Projects" sheetId="1" r:id="rId1"/>
  </sheets>
  <definedNames>
    <definedName name="_xlnm.Print_Area" localSheetId="0">'Capital Projects'!$A$9:$G$81</definedName>
    <definedName name="_xlnm.Print_Titles" localSheetId="0">'Capital Projects'!$1:$8</definedName>
  </definedNames>
  <calcPr calcId="125725"/>
</workbook>
</file>

<file path=xl/calcChain.xml><?xml version="1.0" encoding="utf-8"?>
<calcChain xmlns="http://schemas.openxmlformats.org/spreadsheetml/2006/main">
  <c r="D66" i="1"/>
  <c r="D67"/>
  <c r="J40"/>
  <c r="F39"/>
  <c r="F38"/>
  <c r="F37"/>
  <c r="F36"/>
  <c r="F35"/>
  <c r="C34"/>
  <c r="F34" s="1"/>
  <c r="F33"/>
  <c r="D31"/>
  <c r="C30"/>
  <c r="F30" s="1"/>
  <c r="F29"/>
  <c r="F28"/>
  <c r="F27"/>
  <c r="D25"/>
  <c r="C25"/>
  <c r="F24"/>
  <c r="F23"/>
  <c r="F22"/>
  <c r="F21"/>
  <c r="D19"/>
  <c r="C19"/>
  <c r="F18"/>
  <c r="F17"/>
  <c r="F16"/>
  <c r="D14"/>
  <c r="C14"/>
  <c r="F13"/>
  <c r="F12"/>
  <c r="F11"/>
  <c r="F10"/>
  <c r="F14" s="1"/>
  <c r="F25" l="1"/>
  <c r="F19"/>
  <c r="F31"/>
  <c r="C31"/>
  <c r="D65" l="1"/>
  <c r="D78"/>
  <c r="D77"/>
  <c r="D68"/>
  <c r="D57"/>
  <c r="D56"/>
  <c r="D53"/>
  <c r="D52"/>
  <c r="D51"/>
  <c r="D50"/>
  <c r="D49"/>
  <c r="D48"/>
  <c r="D47"/>
  <c r="D46"/>
  <c r="D45"/>
  <c r="D42"/>
  <c r="D76"/>
  <c r="D55" l="1"/>
  <c r="D54"/>
  <c r="D43"/>
  <c r="F67"/>
  <c r="F58" l="1"/>
  <c r="F57"/>
  <c r="F49"/>
  <c r="F76" l="1"/>
  <c r="F48"/>
  <c r="C62"/>
  <c r="C77"/>
  <c r="F77" s="1"/>
  <c r="F66"/>
  <c r="F56"/>
  <c r="F53"/>
  <c r="D60" l="1"/>
  <c r="D69" l="1"/>
  <c r="F75"/>
  <c r="C69"/>
  <c r="F68"/>
  <c r="F55"/>
  <c r="F52"/>
  <c r="F47"/>
  <c r="F46"/>
  <c r="D63"/>
  <c r="D79" l="1"/>
  <c r="C79" l="1"/>
  <c r="F78"/>
  <c r="F74"/>
  <c r="F73"/>
  <c r="F72"/>
  <c r="F71"/>
  <c r="F65"/>
  <c r="C63"/>
  <c r="F62"/>
  <c r="C60"/>
  <c r="F59"/>
  <c r="F54"/>
  <c r="F51"/>
  <c r="F50"/>
  <c r="F45"/>
  <c r="F44"/>
  <c r="F43"/>
  <c r="C40"/>
  <c r="D40"/>
  <c r="F69" l="1"/>
  <c r="C80"/>
  <c r="F42"/>
  <c r="F60" s="1"/>
  <c r="D80"/>
  <c r="F63"/>
  <c r="F40"/>
  <c r="F79"/>
  <c r="J30" l="1"/>
  <c r="F80"/>
</calcChain>
</file>

<file path=xl/sharedStrings.xml><?xml version="1.0" encoding="utf-8"?>
<sst xmlns="http://schemas.openxmlformats.org/spreadsheetml/2006/main" count="126" uniqueCount="121">
  <si>
    <t>Ottawa Police Service</t>
  </si>
  <si>
    <t>Spending Incl.</t>
  </si>
  <si>
    <t>Project #</t>
  </si>
  <si>
    <t>Description</t>
  </si>
  <si>
    <t>Budget</t>
  </si>
  <si>
    <t>Commitments</t>
  </si>
  <si>
    <t>Status</t>
  </si>
  <si>
    <t>Comm Centre/911 Refit</t>
  </si>
  <si>
    <t>Accommodation Master Plan</t>
  </si>
  <si>
    <t>Facility Minor Capital - 2011</t>
  </si>
  <si>
    <t>Facility Minor Capital</t>
  </si>
  <si>
    <t>Algonquin Range</t>
  </si>
  <si>
    <t>Purchase of remaining portion of the Range per agreement.</t>
  </si>
  <si>
    <t>Facility Acquisition - South</t>
  </si>
  <si>
    <t>Initiating Site selection and project delivery methodology</t>
  </si>
  <si>
    <t>Facility Strategic Plan 2011</t>
  </si>
  <si>
    <t>Facility Acquisition Plan</t>
  </si>
  <si>
    <t>BSAC Security Upgrades 2010</t>
  </si>
  <si>
    <t>BSAC Security Upgrades 2011</t>
  </si>
  <si>
    <t>Building Security and Access Control</t>
  </si>
  <si>
    <t>Facility Lifecycle - 2011</t>
  </si>
  <si>
    <t>Facility Initiatives-2009</t>
  </si>
  <si>
    <t>Elgin Emergency Generator</t>
  </si>
  <si>
    <t>RPAM Facility Workplan</t>
  </si>
  <si>
    <t>IT Upgrade &amp; Expansion - 2008</t>
  </si>
  <si>
    <t>IT Infrastructure - 2010</t>
  </si>
  <si>
    <t>Enterprise storage solution for retaining, managing data</t>
  </si>
  <si>
    <t>IT Infrastructure - 2011</t>
  </si>
  <si>
    <t>IT Storage - 2011</t>
  </si>
  <si>
    <t>IT Applications - 2010</t>
  </si>
  <si>
    <t>IT Applications - 2011</t>
  </si>
  <si>
    <t>Telecommunications - 2011</t>
  </si>
  <si>
    <t>IT Strategic Initiatives</t>
  </si>
  <si>
    <t>Information Technology &amp; Telecommunications</t>
  </si>
  <si>
    <t>IT Mobile Workstations-2011/2012</t>
  </si>
  <si>
    <t>Third phase of in-car mobile workstation replacement program</t>
  </si>
  <si>
    <t>Mobile Workstations</t>
  </si>
  <si>
    <t>Vehicle Replacement - 2011</t>
  </si>
  <si>
    <t>Vehicle Replacement</t>
  </si>
  <si>
    <t>Strategic Growth Initiative 2010</t>
  </si>
  <si>
    <t>Portable Radio Replacement</t>
  </si>
  <si>
    <t>Phase 1 of radio upgrade</t>
  </si>
  <si>
    <t>OPS Share of Radio System</t>
  </si>
  <si>
    <t>Working in partnership with the City of Ottawa, to upgrade existing radio network infrastructure</t>
  </si>
  <si>
    <t>2011 Ottawa Police Operational</t>
  </si>
  <si>
    <t>Business Transformation</t>
  </si>
  <si>
    <t xml:space="preserve">Other Projects </t>
  </si>
  <si>
    <t>Report Total</t>
  </si>
  <si>
    <t>Projects as identified in the 2011 Budget tabling document</t>
  </si>
  <si>
    <t>IT Infrastructure - 2012</t>
  </si>
  <si>
    <t>IT Storage - 2012</t>
  </si>
  <si>
    <t>IT Applications - 2012</t>
  </si>
  <si>
    <t>Telecommunications - 2012</t>
  </si>
  <si>
    <t>Vehicle Replacement - 2012</t>
  </si>
  <si>
    <t>2012 Ottawa Police Operational</t>
  </si>
  <si>
    <t>Alcotesters, robot, line of site devices, cameras, mini-labs, gas masks</t>
  </si>
  <si>
    <t>BSAC Security Upgrades 2012</t>
  </si>
  <si>
    <t>ISMS Upgrades to Divisional Facilities</t>
  </si>
  <si>
    <t>Facility Minor Capital - 2012</t>
  </si>
  <si>
    <t>Chair Replacement Program, Minor Facility Work to Meet Operational Needs</t>
  </si>
  <si>
    <t>Facility Security Initiatives 2012</t>
  </si>
  <si>
    <t xml:space="preserve">Security enhancements to OPS Buildings and Grounds </t>
  </si>
  <si>
    <t>Facility Lifecycle - 2012</t>
  </si>
  <si>
    <t>Projects as identified in the 2012 Budget tabling document</t>
  </si>
  <si>
    <t>Facility Initiatives-2012</t>
  </si>
  <si>
    <t xml:space="preserve">Succession management tools and policy; Corporate Support business process improvement </t>
  </si>
  <si>
    <t>Improvements to IT service delivery and upgrades to existing infrastructure</t>
  </si>
  <si>
    <t>Disaster Recovery, Identity &amp; Access Management; (this project includes a $97,000 credit for Fire CAD work)</t>
  </si>
  <si>
    <t>Replace network switch, Upgrade NICE phone system</t>
  </si>
  <si>
    <t>474 Elgin Retrofit, Netmotion Upgrade, Active Directory Upgrade</t>
  </si>
  <si>
    <t>Microsoft Exchange upgrade, server replacement and firewall replacement</t>
  </si>
  <si>
    <t>Server Upgrades and Wireless expansion to all main OPS buildings</t>
  </si>
  <si>
    <t>FIS Equipment</t>
  </si>
  <si>
    <t>VGI, VCAP, Succession Management Software, CAD Upgrade</t>
  </si>
  <si>
    <t>VMWare upgrade, Server replacement, Wireless expansion project</t>
  </si>
  <si>
    <t>IT Infrastructure - 2013</t>
  </si>
  <si>
    <t>IT Applications - 2013</t>
  </si>
  <si>
    <t>Telecommunications - 2013</t>
  </si>
  <si>
    <t>2013 Ottawa Police Operational</t>
  </si>
  <si>
    <t>Business Solutions 2013</t>
  </si>
  <si>
    <t>Hardware replacement, Windows 7 upgrade, network monitoring solution, print management solution, roadmap for increased functionality of mobile workstations</t>
  </si>
  <si>
    <t xml:space="preserve">Application upgrades including RMS, MDT, MSDM </t>
  </si>
  <si>
    <t>VoIP infrastructure and cabling, replacement of servers and data switches</t>
  </si>
  <si>
    <t>Project funding aimed at improving service delivery</t>
  </si>
  <si>
    <t>Collision reporting centres; E-disclosure;  race based data collection, IT Infrastructure</t>
  </si>
  <si>
    <t>Marine safety equipment</t>
  </si>
  <si>
    <t>Accommodations and Alterations 2013</t>
  </si>
  <si>
    <t>Facility Realignment Plan 2013</t>
  </si>
  <si>
    <t>Facility Lifecycle - 2013</t>
  </si>
  <si>
    <t>Projects as identified in the 2013 Budget tabling document</t>
  </si>
  <si>
    <t>Facility Initiatives-2013</t>
  </si>
  <si>
    <t>Residual</t>
  </si>
  <si>
    <t>Service Catalogue, GIS Server Enhancement, Entity Analytical Suite</t>
  </si>
  <si>
    <t>Upgrade NICE phone system, partner assurance support service, wireless hardware replacement, router upgrade</t>
  </si>
  <si>
    <t>Project Complete - To be closed</t>
  </si>
  <si>
    <t>Space fit-ups, furniture and equipment</t>
  </si>
  <si>
    <t>Public Order protective equipment, water safety program, final phase of camera standardization program, gas masks, forklift</t>
  </si>
  <si>
    <t>Workplace Innovation Project</t>
  </si>
  <si>
    <t>Project being finalized. Anticipated to be closed Q1 2014.  Construction, fit-up, furniture and equipment</t>
  </si>
  <si>
    <t>Infrastructure Support</t>
  </si>
  <si>
    <t>Hardware replacement, storage expansion, introduction of Anywhere, Anytime, Any device platform, roadmap for increased functionality of mobile workstation</t>
  </si>
  <si>
    <t>Secure Communications Connectivity</t>
  </si>
  <si>
    <t>VoIP infrastructure and cabling, firewall replacement, geo-redundant call pilot enhancement, replace data switches</t>
  </si>
  <si>
    <t>New Facility South - IM/IT</t>
  </si>
  <si>
    <t>Purchase of redundancy equipment for the Communication Centre</t>
  </si>
  <si>
    <t>Project Works In Progress</t>
  </si>
  <si>
    <t>Capital Projects</t>
  </si>
  <si>
    <t>Vehicle Replacement - 2013</t>
  </si>
  <si>
    <t>Vehicle Replacement - 2014</t>
  </si>
  <si>
    <t>Elgin Refit 2014</t>
  </si>
  <si>
    <t>Swansea Refit</t>
  </si>
  <si>
    <t>Refit of Fleet &amp; Material Management Space @ Swansea</t>
  </si>
  <si>
    <t>2014 replacement plan plus $185K for fleet strategic initiatives</t>
  </si>
  <si>
    <t>Encumbrance</t>
  </si>
  <si>
    <t>Refit of Operational Space @ Elgin</t>
  </si>
  <si>
    <t>Huntmar Front Desk Hardening</t>
  </si>
  <si>
    <t>10th Line Front Desk Hardening</t>
  </si>
  <si>
    <t>2013 replacement plan</t>
  </si>
  <si>
    <t>Fire Safety Plan, Greenbank UPS</t>
  </si>
  <si>
    <t>T/B Transferred/Reallocated to CRC Project</t>
  </si>
  <si>
    <t>Poject Complete - To be closed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</si>
</sst>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mmmm\ d\,\ yyyy"/>
    <numFmt numFmtId="165" formatCode="#,##0;\(#,##0\)"/>
    <numFmt numFmtId="166" formatCode="_(* #,##0_);_(* \(#,##0\);_(* &quot;-&quot;??_);_(@_)"/>
  </numFmts>
  <fonts count="7">
    <font>
      <sz val="10"/>
      <name val="Arial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rgb="FF00206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22"/>
      </top>
      <bottom/>
      <diagonal/>
    </border>
    <border>
      <left/>
      <right/>
      <top style="medium">
        <color indexed="22"/>
      </top>
      <bottom/>
      <diagonal/>
    </border>
    <border>
      <left style="thin">
        <color indexed="64"/>
      </left>
      <right style="thin">
        <color indexed="64"/>
      </right>
      <top style="medium">
        <color indexed="22"/>
      </top>
      <bottom/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22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22"/>
      </top>
      <bottom/>
      <diagonal/>
    </border>
    <border>
      <left style="thin">
        <color indexed="64"/>
      </left>
      <right/>
      <top/>
      <bottom style="medium">
        <color indexed="22"/>
      </bottom>
      <diagonal/>
    </border>
    <border>
      <left/>
      <right/>
      <top/>
      <bottom style="medium">
        <color indexed="22"/>
      </bottom>
      <diagonal/>
    </border>
    <border>
      <left style="thin">
        <color indexed="64"/>
      </left>
      <right style="thin">
        <color indexed="64"/>
      </right>
      <top/>
      <bottom style="medium">
        <color indexed="22"/>
      </bottom>
      <diagonal/>
    </border>
    <border>
      <left style="thin">
        <color indexed="64"/>
      </left>
      <right/>
      <top style="medium">
        <color indexed="22"/>
      </top>
      <bottom style="medium">
        <color indexed="22"/>
      </bottom>
      <diagonal/>
    </border>
    <border>
      <left/>
      <right/>
      <top style="medium">
        <color indexed="22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medium">
        <color indexed="22"/>
      </bottom>
      <diagonal/>
    </border>
    <border>
      <left style="thin">
        <color indexed="64"/>
      </left>
      <right/>
      <top style="medium">
        <color indexed="22"/>
      </top>
      <bottom style="thin">
        <color indexed="64"/>
      </bottom>
      <diagonal/>
    </border>
    <border>
      <left/>
      <right/>
      <top style="medium">
        <color indexed="22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22"/>
      </bottom>
      <diagonal/>
    </border>
    <border>
      <left style="thin">
        <color indexed="64"/>
      </left>
      <right style="medium">
        <color indexed="64"/>
      </right>
      <top/>
      <bottom style="medium">
        <color theme="0" tint="-0.24994659260841701"/>
      </bottom>
      <diagonal/>
    </border>
    <border>
      <left style="thin">
        <color indexed="64"/>
      </left>
      <right/>
      <top/>
      <bottom style="medium">
        <color theme="0" tint="-0.24994659260841701"/>
      </bottom>
      <diagonal/>
    </border>
    <border>
      <left/>
      <right/>
      <top/>
      <bottom style="medium">
        <color theme="0" tint="-0.24994659260841701"/>
      </bottom>
      <diagonal/>
    </border>
    <border>
      <left style="thin">
        <color indexed="64"/>
      </left>
      <right style="thin">
        <color indexed="64"/>
      </right>
      <top/>
      <bottom style="medium">
        <color theme="0" tint="-0.24994659260841701"/>
      </bottom>
      <diagonal/>
    </border>
    <border>
      <left style="thin">
        <color indexed="64"/>
      </left>
      <right style="medium">
        <color indexed="64"/>
      </right>
      <top style="thick">
        <color theme="0" tint="-0.14996795556505021"/>
      </top>
      <bottom style="thick">
        <color theme="0" tint="-0.14996795556505021"/>
      </bottom>
      <diagonal/>
    </border>
    <border>
      <left style="thin">
        <color indexed="64"/>
      </left>
      <right/>
      <top style="thick">
        <color theme="0" tint="-0.14996795556505021"/>
      </top>
      <bottom style="thick">
        <color theme="0" tint="-0.14996795556505021"/>
      </bottom>
      <diagonal/>
    </border>
    <border>
      <left/>
      <right/>
      <top style="thick">
        <color theme="0" tint="-0.14996795556505021"/>
      </top>
      <bottom style="thick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ck">
        <color theme="0" tint="-0.14996795556505021"/>
      </top>
      <bottom style="thick">
        <color theme="0" tint="-0.14996795556505021"/>
      </bottom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0" fontId="6" fillId="0" borderId="0"/>
  </cellStyleXfs>
  <cellXfs count="114">
    <xf numFmtId="0" fontId="0" fillId="0" borderId="0" xfId="0"/>
    <xf numFmtId="0" fontId="1" fillId="0" borderId="0" xfId="0" applyFont="1" applyFill="1" applyAlignment="1"/>
    <xf numFmtId="0" fontId="2" fillId="0" borderId="0" xfId="0" applyFont="1" applyFill="1" applyAlignment="1"/>
    <xf numFmtId="0" fontId="2" fillId="0" borderId="0" xfId="0" applyFont="1" applyFill="1" applyAlignment="1">
      <alignment wrapText="1"/>
    </xf>
    <xf numFmtId="49" fontId="3" fillId="0" borderId="3" xfId="0" applyNumberFormat="1" applyFont="1" applyFill="1" applyBorder="1" applyAlignment="1">
      <alignment horizontal="center"/>
    </xf>
    <xf numFmtId="49" fontId="3" fillId="0" borderId="4" xfId="0" applyNumberFormat="1" applyFont="1" applyFill="1" applyBorder="1" applyAlignment="1">
      <alignment horizontal="center" wrapText="1"/>
    </xf>
    <xf numFmtId="0" fontId="3" fillId="0" borderId="0" xfId="0" applyFont="1" applyFill="1"/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/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 wrapText="1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/>
    <xf numFmtId="0" fontId="2" fillId="0" borderId="14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vertical="top" wrapText="1"/>
    </xf>
    <xf numFmtId="38" fontId="2" fillId="0" borderId="16" xfId="0" applyNumberFormat="1" applyFont="1" applyFill="1" applyBorder="1" applyAlignment="1">
      <alignment vertical="top" wrapText="1"/>
    </xf>
    <xf numFmtId="38" fontId="2" fillId="0" borderId="17" xfId="0" applyNumberFormat="1" applyFont="1" applyFill="1" applyBorder="1" applyAlignment="1">
      <alignment vertical="top" wrapText="1"/>
    </xf>
    <xf numFmtId="165" fontId="2" fillId="0" borderId="18" xfId="0" applyNumberFormat="1" applyFont="1" applyFill="1" applyBorder="1" applyAlignment="1">
      <alignment vertical="top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top" wrapText="1"/>
    </xf>
    <xf numFmtId="38" fontId="2" fillId="0" borderId="7" xfId="0" applyNumberFormat="1" applyFont="1" applyFill="1" applyBorder="1" applyAlignment="1">
      <alignment vertical="top" wrapText="1"/>
    </xf>
    <xf numFmtId="165" fontId="2" fillId="0" borderId="8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wrapText="1"/>
    </xf>
    <xf numFmtId="0" fontId="2" fillId="0" borderId="20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vertical="top" wrapText="1"/>
    </xf>
    <xf numFmtId="38" fontId="2" fillId="0" borderId="22" xfId="0" applyNumberFormat="1" applyFont="1" applyFill="1" applyBorder="1" applyAlignment="1">
      <alignment vertical="top" wrapText="1"/>
    </xf>
    <xf numFmtId="38" fontId="2" fillId="0" borderId="11" xfId="0" applyNumberFormat="1" applyFont="1" applyFill="1" applyBorder="1" applyAlignment="1">
      <alignment vertical="top" wrapText="1"/>
    </xf>
    <xf numFmtId="165" fontId="2" fillId="0" borderId="12" xfId="0" applyNumberFormat="1" applyFont="1" applyFill="1" applyBorder="1" applyAlignment="1">
      <alignment vertical="top" wrapText="1"/>
    </xf>
    <xf numFmtId="0" fontId="2" fillId="0" borderId="23" xfId="0" applyFont="1" applyFill="1" applyBorder="1" applyAlignment="1">
      <alignment horizontal="center" vertical="top" wrapText="1"/>
    </xf>
    <xf numFmtId="0" fontId="2" fillId="0" borderId="24" xfId="0" applyFont="1" applyFill="1" applyBorder="1" applyAlignment="1">
      <alignment vertical="top" wrapText="1"/>
    </xf>
    <xf numFmtId="38" fontId="2" fillId="0" borderId="25" xfId="0" applyNumberFormat="1" applyFont="1" applyFill="1" applyBorder="1" applyAlignment="1">
      <alignment vertical="top" wrapText="1"/>
    </xf>
    <xf numFmtId="0" fontId="2" fillId="0" borderId="26" xfId="0" applyFont="1" applyFill="1" applyBorder="1" applyAlignment="1">
      <alignment horizontal="center" vertical="top" wrapText="1"/>
    </xf>
    <xf numFmtId="0" fontId="2" fillId="0" borderId="27" xfId="0" applyFont="1" applyFill="1" applyBorder="1" applyAlignment="1">
      <alignment vertical="top" wrapText="1"/>
    </xf>
    <xf numFmtId="38" fontId="3" fillId="0" borderId="0" xfId="0" applyNumberFormat="1" applyFont="1" applyFill="1" applyAlignment="1">
      <alignment wrapText="1"/>
    </xf>
    <xf numFmtId="0" fontId="2" fillId="0" borderId="13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vertical="top"/>
    </xf>
    <xf numFmtId="38" fontId="2" fillId="0" borderId="7" xfId="0" applyNumberFormat="1" applyFont="1" applyFill="1" applyBorder="1" applyAlignment="1">
      <alignment vertical="top"/>
    </xf>
    <xf numFmtId="0" fontId="2" fillId="0" borderId="14" xfId="0" applyFont="1" applyFill="1" applyBorder="1" applyAlignment="1">
      <alignment horizontal="center" vertical="top"/>
    </xf>
    <xf numFmtId="0" fontId="2" fillId="0" borderId="15" xfId="0" applyFont="1" applyFill="1" applyBorder="1" applyAlignment="1">
      <alignment vertical="top"/>
    </xf>
    <xf numFmtId="38" fontId="2" fillId="0" borderId="16" xfId="0" applyNumberFormat="1" applyFont="1" applyFill="1" applyBorder="1" applyAlignment="1">
      <alignment vertical="top"/>
    </xf>
    <xf numFmtId="38" fontId="2" fillId="0" borderId="17" xfId="0" applyNumberFormat="1" applyFont="1" applyFill="1" applyBorder="1" applyAlignment="1">
      <alignment vertical="top"/>
    </xf>
    <xf numFmtId="0" fontId="2" fillId="0" borderId="0" xfId="0" applyFont="1" applyFill="1"/>
    <xf numFmtId="38" fontId="2" fillId="0" borderId="0" xfId="0" applyNumberFormat="1" applyFont="1" applyFill="1"/>
    <xf numFmtId="38" fontId="3" fillId="0" borderId="0" xfId="0" applyNumberFormat="1" applyFont="1" applyFill="1"/>
    <xf numFmtId="0" fontId="3" fillId="0" borderId="13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vertical="top"/>
    </xf>
    <xf numFmtId="38" fontId="3" fillId="0" borderId="7" xfId="0" applyNumberFormat="1" applyFont="1" applyFill="1" applyBorder="1" applyAlignment="1">
      <alignment vertical="top"/>
    </xf>
    <xf numFmtId="38" fontId="3" fillId="0" borderId="0" xfId="0" applyNumberFormat="1" applyFont="1" applyFill="1" applyBorder="1"/>
    <xf numFmtId="0" fontId="3" fillId="0" borderId="0" xfId="0" applyFont="1" applyFill="1" applyBorder="1"/>
    <xf numFmtId="38" fontId="4" fillId="0" borderId="7" xfId="0" applyNumberFormat="1" applyFont="1" applyFill="1" applyBorder="1" applyAlignment="1">
      <alignment vertical="top"/>
    </xf>
    <xf numFmtId="165" fontId="2" fillId="0" borderId="19" xfId="0" applyNumberFormat="1" applyFont="1" applyFill="1" applyBorder="1" applyAlignment="1">
      <alignment vertical="top" wrapText="1"/>
    </xf>
    <xf numFmtId="38" fontId="2" fillId="0" borderId="25" xfId="0" applyNumberFormat="1" applyFont="1" applyFill="1" applyBorder="1" applyAlignment="1">
      <alignment vertical="top"/>
    </xf>
    <xf numFmtId="38" fontId="5" fillId="0" borderId="16" xfId="0" applyNumberFormat="1" applyFont="1" applyFill="1" applyBorder="1" applyAlignment="1">
      <alignment vertical="top"/>
    </xf>
    <xf numFmtId="0" fontId="2" fillId="0" borderId="20" xfId="0" applyFont="1" applyFill="1" applyBorder="1" applyAlignment="1">
      <alignment horizontal="center" vertical="top"/>
    </xf>
    <xf numFmtId="0" fontId="2" fillId="0" borderId="21" xfId="0" applyFont="1" applyFill="1" applyBorder="1" applyAlignment="1">
      <alignment vertical="top"/>
    </xf>
    <xf numFmtId="38" fontId="2" fillId="0" borderId="22" xfId="0" applyNumberFormat="1" applyFont="1" applyFill="1" applyBorder="1" applyAlignment="1">
      <alignment vertical="top"/>
    </xf>
    <xf numFmtId="0" fontId="2" fillId="0" borderId="0" xfId="0" applyFont="1" applyFill="1" applyAlignment="1">
      <alignment vertical="top"/>
    </xf>
    <xf numFmtId="38" fontId="2" fillId="0" borderId="0" xfId="0" applyNumberFormat="1" applyFont="1" applyFill="1" applyAlignment="1">
      <alignment vertical="top"/>
    </xf>
    <xf numFmtId="0" fontId="2" fillId="0" borderId="0" xfId="0" applyFont="1" applyFill="1" applyAlignment="1">
      <alignment vertical="top" wrapText="1"/>
    </xf>
    <xf numFmtId="165" fontId="2" fillId="0" borderId="29" xfId="0" applyNumberFormat="1" applyFont="1" applyFill="1" applyBorder="1"/>
    <xf numFmtId="165" fontId="2" fillId="0" borderId="28" xfId="0" applyNumberFormat="1" applyFont="1" applyFill="1" applyBorder="1" applyAlignment="1">
      <alignment wrapText="1"/>
    </xf>
    <xf numFmtId="0" fontId="3" fillId="0" borderId="31" xfId="0" applyFont="1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38" fontId="3" fillId="0" borderId="33" xfId="0" applyNumberFormat="1" applyFont="1" applyFill="1" applyBorder="1" applyAlignment="1">
      <alignment vertical="center" wrapText="1"/>
    </xf>
    <xf numFmtId="165" fontId="3" fillId="0" borderId="30" xfId="0" applyNumberFormat="1" applyFont="1" applyFill="1" applyBorder="1" applyAlignment="1">
      <alignment vertical="center" wrapText="1"/>
    </xf>
    <xf numFmtId="0" fontId="3" fillId="0" borderId="34" xfId="0" applyFont="1" applyFill="1" applyBorder="1" applyAlignment="1">
      <alignment horizontal="left" vertical="top" wrapText="1"/>
    </xf>
    <xf numFmtId="0" fontId="3" fillId="0" borderId="35" xfId="0" applyFont="1" applyFill="1" applyBorder="1" applyAlignment="1">
      <alignment vertical="top" wrapText="1"/>
    </xf>
    <xf numFmtId="38" fontId="3" fillId="0" borderId="3" xfId="0" applyNumberFormat="1" applyFont="1" applyFill="1" applyBorder="1" applyAlignment="1">
      <alignment vertical="top" wrapText="1"/>
    </xf>
    <xf numFmtId="165" fontId="3" fillId="0" borderId="4" xfId="0" applyNumberFormat="1" applyFont="1" applyFill="1" applyBorder="1" applyAlignment="1">
      <alignment vertical="top" wrapText="1"/>
    </xf>
    <xf numFmtId="0" fontId="3" fillId="0" borderId="31" xfId="0" applyFont="1" applyFill="1" applyBorder="1" applyAlignment="1">
      <alignment horizontal="left" vertical="center"/>
    </xf>
    <xf numFmtId="0" fontId="3" fillId="0" borderId="36" xfId="0" applyFont="1" applyFill="1" applyBorder="1" applyAlignment="1">
      <alignment vertical="center"/>
    </xf>
    <xf numFmtId="0" fontId="2" fillId="0" borderId="34" xfId="0" applyFont="1" applyFill="1" applyBorder="1" applyAlignment="1">
      <alignment horizontal="center" vertical="top" wrapText="1"/>
    </xf>
    <xf numFmtId="0" fontId="2" fillId="0" borderId="35" xfId="0" applyFont="1" applyFill="1" applyBorder="1" applyAlignment="1">
      <alignment vertical="top" wrapText="1"/>
    </xf>
    <xf numFmtId="38" fontId="2" fillId="0" borderId="3" xfId="0" applyNumberFormat="1" applyFont="1" applyFill="1" applyBorder="1" applyAlignment="1">
      <alignment vertical="top" wrapText="1"/>
    </xf>
    <xf numFmtId="165" fontId="2" fillId="0" borderId="4" xfId="0" applyNumberFormat="1" applyFont="1" applyFill="1" applyBorder="1" applyAlignment="1">
      <alignment vertical="top" wrapText="1"/>
    </xf>
    <xf numFmtId="0" fontId="3" fillId="0" borderId="36" xfId="0" applyFont="1" applyFill="1" applyBorder="1" applyAlignment="1">
      <alignment vertical="center" wrapText="1"/>
    </xf>
    <xf numFmtId="38" fontId="3" fillId="0" borderId="33" xfId="0" applyNumberFormat="1" applyFont="1" applyFill="1" applyBorder="1" applyAlignment="1">
      <alignment vertical="center"/>
    </xf>
    <xf numFmtId="165" fontId="2" fillId="0" borderId="30" xfId="0" applyNumberFormat="1" applyFont="1" applyFill="1" applyBorder="1" applyAlignment="1">
      <alignment vertical="center" wrapText="1"/>
    </xf>
    <xf numFmtId="0" fontId="3" fillId="0" borderId="38" xfId="0" applyFont="1" applyFill="1" applyBorder="1" applyAlignment="1">
      <alignment horizontal="left" vertical="center"/>
    </xf>
    <xf numFmtId="0" fontId="3" fillId="0" borderId="39" xfId="0" applyFont="1" applyFill="1" applyBorder="1" applyAlignment="1">
      <alignment vertical="center"/>
    </xf>
    <xf numFmtId="38" fontId="3" fillId="0" borderId="40" xfId="0" applyNumberFormat="1" applyFont="1" applyFill="1" applyBorder="1" applyAlignment="1">
      <alignment vertical="center"/>
    </xf>
    <xf numFmtId="165" fontId="3" fillId="0" borderId="37" xfId="0" applyNumberFormat="1" applyFont="1" applyFill="1" applyBorder="1" applyAlignment="1">
      <alignment vertical="center" wrapText="1"/>
    </xf>
    <xf numFmtId="38" fontId="2" fillId="0" borderId="0" xfId="0" applyNumberFormat="1" applyFont="1" applyFill="1" applyAlignment="1">
      <alignment wrapText="1"/>
    </xf>
    <xf numFmtId="165" fontId="3" fillId="0" borderId="18" xfId="0" applyNumberFormat="1" applyFont="1" applyFill="1" applyBorder="1" applyAlignment="1">
      <alignment vertical="top" wrapText="1"/>
    </xf>
    <xf numFmtId="38" fontId="5" fillId="0" borderId="7" xfId="0" applyNumberFormat="1" applyFont="1" applyFill="1" applyBorder="1" applyAlignment="1">
      <alignment vertical="top"/>
    </xf>
    <xf numFmtId="165" fontId="2" fillId="0" borderId="41" xfId="0" quotePrefix="1" applyNumberFormat="1" applyFont="1" applyFill="1" applyBorder="1" applyAlignment="1">
      <alignment vertical="top" wrapText="1"/>
    </xf>
    <xf numFmtId="165" fontId="3" fillId="0" borderId="41" xfId="0" applyNumberFormat="1" applyFont="1" applyFill="1" applyBorder="1" applyAlignment="1">
      <alignment vertical="top" wrapText="1"/>
    </xf>
    <xf numFmtId="0" fontId="2" fillId="0" borderId="34" xfId="0" applyFont="1" applyFill="1" applyBorder="1" applyAlignment="1">
      <alignment horizontal="center" vertical="top"/>
    </xf>
    <xf numFmtId="0" fontId="2" fillId="0" borderId="35" xfId="0" applyFont="1" applyFill="1" applyBorder="1" applyAlignment="1">
      <alignment vertical="top"/>
    </xf>
    <xf numFmtId="38" fontId="2" fillId="0" borderId="3" xfId="0" applyNumberFormat="1" applyFont="1" applyFill="1" applyBorder="1" applyAlignment="1">
      <alignment vertical="top"/>
    </xf>
    <xf numFmtId="0" fontId="2" fillId="0" borderId="43" xfId="0" applyFont="1" applyFill="1" applyBorder="1" applyAlignment="1">
      <alignment horizontal="center" vertical="top" wrapText="1"/>
    </xf>
    <xf numFmtId="0" fontId="2" fillId="0" borderId="44" xfId="0" applyFont="1" applyFill="1" applyBorder="1" applyAlignment="1">
      <alignment vertical="top" wrapText="1"/>
    </xf>
    <xf numFmtId="38" fontId="2" fillId="0" borderId="45" xfId="0" applyNumberFormat="1" applyFont="1" applyFill="1" applyBorder="1" applyAlignment="1">
      <alignment vertical="top" wrapText="1"/>
    </xf>
    <xf numFmtId="165" fontId="2" fillId="0" borderId="42" xfId="0" applyNumberFormat="1" applyFont="1" applyFill="1" applyBorder="1" applyAlignment="1">
      <alignment vertical="top" wrapText="1"/>
    </xf>
    <xf numFmtId="166" fontId="2" fillId="0" borderId="0" xfId="1" applyNumberFormat="1" applyFont="1" applyFill="1"/>
    <xf numFmtId="0" fontId="2" fillId="0" borderId="47" xfId="0" applyFont="1" applyFill="1" applyBorder="1" applyAlignment="1">
      <alignment horizontal="center" vertical="top" wrapText="1"/>
    </xf>
    <xf numFmtId="0" fontId="2" fillId="0" borderId="48" xfId="0" applyFont="1" applyFill="1" applyBorder="1" applyAlignment="1">
      <alignment vertical="top" wrapText="1"/>
    </xf>
    <xf numFmtId="38" fontId="2" fillId="0" borderId="49" xfId="0" applyNumberFormat="1" applyFont="1" applyFill="1" applyBorder="1" applyAlignment="1">
      <alignment vertical="top" wrapText="1"/>
    </xf>
    <xf numFmtId="165" fontId="2" fillId="0" borderId="46" xfId="0" applyNumberFormat="1" applyFont="1" applyFill="1" applyBorder="1" applyAlignment="1">
      <alignment vertical="top" wrapText="1"/>
    </xf>
    <xf numFmtId="0" fontId="1" fillId="0" borderId="0" xfId="0" applyFont="1" applyFill="1" applyAlignment="1">
      <alignment horizontal="center"/>
    </xf>
    <xf numFmtId="0" fontId="0" fillId="0" borderId="0" xfId="0" applyFill="1" applyAlignment="1"/>
    <xf numFmtId="164" fontId="1" fillId="0" borderId="0" xfId="0" applyNumberFormat="1" applyFont="1" applyFill="1" applyAlignment="1">
      <alignment horizontal="center"/>
    </xf>
    <xf numFmtId="164" fontId="0" fillId="0" borderId="0" xfId="0" applyNumberFormat="1" applyFill="1" applyAlignment="1"/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8"/>
  <sheetViews>
    <sheetView showGridLines="0" tabSelected="1" view="pageLayout" topLeftCell="A58" zoomScaleNormal="100" zoomScaleSheetLayoutView="100" workbookViewId="0">
      <selection activeCell="D11" sqref="D11"/>
    </sheetView>
  </sheetViews>
  <sheetFormatPr defaultColWidth="9.140625" defaultRowHeight="11.25"/>
  <cols>
    <col min="1" max="1" width="12.5703125" style="48" customWidth="1"/>
    <col min="2" max="2" width="27.7109375" style="48" customWidth="1"/>
    <col min="3" max="3" width="12.85546875" style="48" customWidth="1"/>
    <col min="4" max="4" width="13.28515625" style="48" customWidth="1"/>
    <col min="5" max="5" width="13.28515625" style="48" hidden="1" customWidth="1"/>
    <col min="6" max="6" width="12.85546875" style="48" customWidth="1"/>
    <col min="7" max="7" width="38.7109375" style="3" customWidth="1"/>
    <col min="8" max="8" width="9.28515625" style="48" bestFit="1" customWidth="1"/>
    <col min="9" max="9" width="10" style="48" bestFit="1" customWidth="1"/>
    <col min="10" max="16384" width="9.140625" style="48"/>
  </cols>
  <sheetData>
    <row r="1" spans="1:7" s="1" customFormat="1" ht="15.75">
      <c r="A1" s="106" t="s">
        <v>0</v>
      </c>
      <c r="B1" s="106"/>
      <c r="C1" s="106"/>
      <c r="D1" s="106"/>
      <c r="E1" s="106"/>
      <c r="F1" s="106"/>
      <c r="G1" s="107"/>
    </row>
    <row r="2" spans="1:7" s="1" customFormat="1" ht="15.75">
      <c r="A2" s="106" t="s">
        <v>105</v>
      </c>
      <c r="B2" s="106"/>
      <c r="C2" s="106"/>
      <c r="D2" s="106"/>
      <c r="E2" s="106"/>
      <c r="F2" s="106"/>
      <c r="G2" s="107"/>
    </row>
    <row r="3" spans="1:7" s="2" customFormat="1" ht="15.75">
      <c r="A3" s="108">
        <v>41790</v>
      </c>
      <c r="B3" s="108"/>
      <c r="C3" s="108"/>
      <c r="D3" s="108"/>
      <c r="E3" s="108"/>
      <c r="F3" s="108"/>
      <c r="G3" s="109"/>
    </row>
    <row r="4" spans="1:7" s="2" customFormat="1" ht="15.75">
      <c r="A4" s="108" t="s">
        <v>106</v>
      </c>
      <c r="B4" s="108"/>
      <c r="C4" s="108"/>
      <c r="D4" s="108"/>
      <c r="E4" s="108"/>
      <c r="F4" s="108"/>
      <c r="G4" s="108"/>
    </row>
    <row r="5" spans="1:7" s="2" customFormat="1" ht="12.75" customHeight="1" thickBot="1">
      <c r="G5" s="3"/>
    </row>
    <row r="6" spans="1:7" s="6" customFormat="1">
      <c r="A6" s="110"/>
      <c r="B6" s="111"/>
      <c r="C6" s="4"/>
      <c r="D6" s="4"/>
      <c r="E6" s="4"/>
      <c r="F6" s="4"/>
      <c r="G6" s="5"/>
    </row>
    <row r="7" spans="1:7" s="6" customFormat="1">
      <c r="A7" s="7"/>
      <c r="B7" s="8"/>
      <c r="C7" s="9"/>
      <c r="D7" s="10" t="s">
        <v>1</v>
      </c>
      <c r="E7" s="10"/>
      <c r="F7" s="10"/>
      <c r="G7" s="11"/>
    </row>
    <row r="8" spans="1:7" s="16" customFormat="1">
      <c r="A8" s="12" t="s">
        <v>2</v>
      </c>
      <c r="B8" s="13" t="s">
        <v>3</v>
      </c>
      <c r="C8" s="14" t="s">
        <v>4</v>
      </c>
      <c r="D8" s="14" t="s">
        <v>5</v>
      </c>
      <c r="E8" s="14" t="s">
        <v>113</v>
      </c>
      <c r="F8" s="14" t="s">
        <v>91</v>
      </c>
      <c r="G8" s="15" t="s">
        <v>6</v>
      </c>
    </row>
    <row r="9" spans="1:7" s="17" customFormat="1" ht="5.25" customHeight="1">
      <c r="A9" s="112"/>
      <c r="B9" s="113"/>
      <c r="C9" s="66"/>
      <c r="D9" s="66"/>
      <c r="E9" s="66"/>
      <c r="F9" s="66"/>
      <c r="G9" s="67"/>
    </row>
    <row r="10" spans="1:7" s="3" customFormat="1" ht="23.25" customHeight="1" thickBot="1">
      <c r="A10" s="97">
        <v>904516</v>
      </c>
      <c r="B10" s="98" t="s">
        <v>7</v>
      </c>
      <c r="C10" s="99">
        <v>2171100</v>
      </c>
      <c r="D10" s="99">
        <v>2146888</v>
      </c>
      <c r="E10" s="99"/>
      <c r="F10" s="99">
        <f>C10-D10</f>
        <v>24212</v>
      </c>
      <c r="G10" s="100" t="s">
        <v>98</v>
      </c>
    </row>
    <row r="11" spans="1:7" s="3" customFormat="1" ht="23.25" customHeight="1" thickBot="1">
      <c r="A11" s="18">
        <v>907080</v>
      </c>
      <c r="B11" s="19" t="s">
        <v>87</v>
      </c>
      <c r="C11" s="20">
        <v>5278900</v>
      </c>
      <c r="D11" s="20">
        <v>3928763</v>
      </c>
      <c r="E11" s="20"/>
      <c r="F11" s="20">
        <f>C11-D11</f>
        <v>1350137</v>
      </c>
      <c r="G11" s="57" t="s">
        <v>95</v>
      </c>
    </row>
    <row r="12" spans="1:7" s="3" customFormat="1" ht="23.25" customHeight="1" thickTop="1" thickBot="1">
      <c r="A12" s="102">
        <v>907491</v>
      </c>
      <c r="B12" s="103" t="s">
        <v>109</v>
      </c>
      <c r="C12" s="104">
        <v>1220000</v>
      </c>
      <c r="D12" s="104">
        <v>1528</v>
      </c>
      <c r="E12" s="104"/>
      <c r="F12" s="104">
        <f>C12-D12</f>
        <v>1218472</v>
      </c>
      <c r="G12" s="105" t="s">
        <v>114</v>
      </c>
    </row>
    <row r="13" spans="1:7" s="3" customFormat="1" ht="23.25" customHeight="1" thickTop="1">
      <c r="A13" s="25">
        <v>907492</v>
      </c>
      <c r="B13" s="26" t="s">
        <v>110</v>
      </c>
      <c r="C13" s="27">
        <v>150000</v>
      </c>
      <c r="D13" s="27">
        <v>0</v>
      </c>
      <c r="E13" s="27"/>
      <c r="F13" s="33">
        <f>C13-D13</f>
        <v>150000</v>
      </c>
      <c r="G13" s="34" t="s">
        <v>111</v>
      </c>
    </row>
    <row r="14" spans="1:7" s="23" customFormat="1" ht="15" customHeight="1" thickBot="1">
      <c r="A14" s="68" t="s">
        <v>8</v>
      </c>
      <c r="B14" s="69"/>
      <c r="C14" s="70">
        <f>SUM(C10:C13)</f>
        <v>8820000</v>
      </c>
      <c r="D14" s="70">
        <f>SUM(D10:D13)</f>
        <v>6077179</v>
      </c>
      <c r="E14" s="70"/>
      <c r="F14" s="70">
        <f>SUM(F10:F13)</f>
        <v>2742821</v>
      </c>
      <c r="G14" s="71"/>
    </row>
    <row r="15" spans="1:7" s="24" customFormat="1" ht="5.25" customHeight="1" thickBot="1">
      <c r="A15" s="72"/>
      <c r="B15" s="73"/>
      <c r="C15" s="74"/>
      <c r="D15" s="74"/>
      <c r="E15" s="74"/>
      <c r="F15" s="74"/>
      <c r="G15" s="75"/>
    </row>
    <row r="16" spans="1:7" s="3" customFormat="1" ht="22.5" customHeight="1" thickBot="1">
      <c r="A16" s="18">
        <v>906165</v>
      </c>
      <c r="B16" s="19" t="s">
        <v>9</v>
      </c>
      <c r="C16" s="20">
        <v>367064</v>
      </c>
      <c r="D16" s="20">
        <v>339848</v>
      </c>
      <c r="E16" s="20"/>
      <c r="F16" s="21">
        <f>C16-D16</f>
        <v>27216</v>
      </c>
      <c r="G16" s="22" t="s">
        <v>118</v>
      </c>
    </row>
    <row r="17" spans="1:10" s="3" customFormat="1" ht="22.5" customHeight="1" thickBot="1">
      <c r="A17" s="18">
        <v>906560</v>
      </c>
      <c r="B17" s="19" t="s">
        <v>58</v>
      </c>
      <c r="C17" s="20">
        <v>840000</v>
      </c>
      <c r="D17" s="20">
        <v>385153</v>
      </c>
      <c r="E17" s="20"/>
      <c r="F17" s="21">
        <f>C17-D17</f>
        <v>454847</v>
      </c>
      <c r="G17" s="22" t="s">
        <v>59</v>
      </c>
    </row>
    <row r="18" spans="1:10" s="3" customFormat="1" ht="22.5" customHeight="1">
      <c r="A18" s="18">
        <v>907078</v>
      </c>
      <c r="B18" s="19" t="s">
        <v>86</v>
      </c>
      <c r="C18" s="20">
        <v>695000</v>
      </c>
      <c r="D18" s="20">
        <v>272594</v>
      </c>
      <c r="E18" s="20"/>
      <c r="F18" s="21">
        <f>C18-D18</f>
        <v>422406</v>
      </c>
      <c r="G18" s="22" t="s">
        <v>59</v>
      </c>
    </row>
    <row r="19" spans="1:10" s="23" customFormat="1" ht="15" customHeight="1" thickBot="1">
      <c r="A19" s="68" t="s">
        <v>10</v>
      </c>
      <c r="B19" s="69"/>
      <c r="C19" s="70">
        <f>SUM(C16:C18)</f>
        <v>1902064</v>
      </c>
      <c r="D19" s="70">
        <f>SUM(D16:D18)</f>
        <v>997595</v>
      </c>
      <c r="E19" s="70"/>
      <c r="F19" s="70">
        <f>SUM(F16:F18)</f>
        <v>904469</v>
      </c>
      <c r="G19" s="71"/>
    </row>
    <row r="20" spans="1:10" s="29" customFormat="1" ht="5.25" customHeight="1">
      <c r="A20" s="25"/>
      <c r="B20" s="26"/>
      <c r="C20" s="27"/>
      <c r="D20" s="27"/>
      <c r="E20" s="27"/>
      <c r="F20" s="27"/>
      <c r="G20" s="28"/>
    </row>
    <row r="21" spans="1:10" s="3" customFormat="1" ht="23.25" thickBot="1">
      <c r="A21" s="30">
        <v>902244</v>
      </c>
      <c r="B21" s="31" t="s">
        <v>11</v>
      </c>
      <c r="C21" s="32">
        <v>650000</v>
      </c>
      <c r="D21" s="27">
        <v>0</v>
      </c>
      <c r="E21" s="27"/>
      <c r="F21" s="33">
        <f>C21-D21</f>
        <v>650000</v>
      </c>
      <c r="G21" s="34" t="s">
        <v>12</v>
      </c>
    </row>
    <row r="22" spans="1:10" s="3" customFormat="1" ht="23.25" thickBot="1">
      <c r="A22" s="35">
        <v>903447</v>
      </c>
      <c r="B22" s="36" t="s">
        <v>13</v>
      </c>
      <c r="C22" s="37">
        <v>30300000</v>
      </c>
      <c r="D22" s="20">
        <v>68205</v>
      </c>
      <c r="E22" s="20"/>
      <c r="F22" s="21">
        <f>C22-D22</f>
        <v>30231795</v>
      </c>
      <c r="G22" s="22" t="s">
        <v>14</v>
      </c>
    </row>
    <row r="23" spans="1:10" s="3" customFormat="1" ht="12" thickBot="1">
      <c r="A23" s="38">
        <v>906166</v>
      </c>
      <c r="B23" s="39" t="s">
        <v>15</v>
      </c>
      <c r="C23" s="21">
        <v>1920921</v>
      </c>
      <c r="D23" s="20">
        <v>1920921</v>
      </c>
      <c r="E23" s="20"/>
      <c r="F23" s="20">
        <f>C23-D23</f>
        <v>0</v>
      </c>
      <c r="G23" s="90" t="s">
        <v>120</v>
      </c>
    </row>
    <row r="24" spans="1:10" s="3" customFormat="1" ht="24.75" customHeight="1">
      <c r="A24" s="38">
        <v>907378</v>
      </c>
      <c r="B24" s="39" t="s">
        <v>97</v>
      </c>
      <c r="C24" s="21">
        <v>225000</v>
      </c>
      <c r="D24" s="20">
        <v>165427</v>
      </c>
      <c r="E24" s="20"/>
      <c r="F24" s="20">
        <f>C24-D24</f>
        <v>59573</v>
      </c>
      <c r="G24" s="22"/>
    </row>
    <row r="25" spans="1:10" s="23" customFormat="1" ht="15" customHeight="1" thickBot="1">
      <c r="A25" s="76" t="s">
        <v>16</v>
      </c>
      <c r="B25" s="77"/>
      <c r="C25" s="70">
        <f>SUM(C21:C24)</f>
        <v>33095921</v>
      </c>
      <c r="D25" s="70">
        <f>SUM(D21:D24)</f>
        <v>2154553</v>
      </c>
      <c r="E25" s="70"/>
      <c r="F25" s="70">
        <f>SUM(F21:F24)</f>
        <v>30941368</v>
      </c>
      <c r="G25" s="71"/>
      <c r="H25" s="40"/>
      <c r="I25" s="40"/>
    </row>
    <row r="26" spans="1:10" s="29" customFormat="1" ht="5.25" customHeight="1">
      <c r="A26" s="78"/>
      <c r="B26" s="79"/>
      <c r="C26" s="80"/>
      <c r="D26" s="80"/>
      <c r="E26" s="80"/>
      <c r="F26" s="80"/>
      <c r="G26" s="81"/>
    </row>
    <row r="27" spans="1:10" s="3" customFormat="1" ht="22.5" customHeight="1" thickBot="1">
      <c r="A27" s="25">
        <v>904134</v>
      </c>
      <c r="B27" s="26" t="s">
        <v>17</v>
      </c>
      <c r="C27" s="27">
        <v>461000</v>
      </c>
      <c r="D27" s="27">
        <v>461000</v>
      </c>
      <c r="E27" s="27"/>
      <c r="F27" s="32">
        <f>C27-D27</f>
        <v>0</v>
      </c>
      <c r="G27" s="93" t="s">
        <v>94</v>
      </c>
    </row>
    <row r="28" spans="1:10" s="3" customFormat="1" ht="22.5" customHeight="1" thickBot="1">
      <c r="A28" s="18">
        <v>906164</v>
      </c>
      <c r="B28" s="19" t="s">
        <v>18</v>
      </c>
      <c r="C28" s="20">
        <v>272000</v>
      </c>
      <c r="D28" s="20">
        <v>272000</v>
      </c>
      <c r="E28" s="20"/>
      <c r="F28" s="21">
        <f>C28-D28</f>
        <v>0</v>
      </c>
      <c r="G28" s="90" t="s">
        <v>94</v>
      </c>
      <c r="H28" s="89"/>
    </row>
    <row r="29" spans="1:10" s="3" customFormat="1" ht="22.5" customHeight="1" thickBot="1">
      <c r="A29" s="18">
        <v>906559</v>
      </c>
      <c r="B29" s="19" t="s">
        <v>56</v>
      </c>
      <c r="C29" s="20">
        <v>125000</v>
      </c>
      <c r="D29" s="20">
        <v>102565</v>
      </c>
      <c r="E29" s="20"/>
      <c r="F29" s="21">
        <f>C29-D29</f>
        <v>22435</v>
      </c>
      <c r="G29" s="22" t="s">
        <v>57</v>
      </c>
      <c r="H29" s="89"/>
    </row>
    <row r="30" spans="1:10" s="23" customFormat="1" ht="15" customHeight="1">
      <c r="A30" s="44">
        <v>906772</v>
      </c>
      <c r="B30" s="45" t="s">
        <v>60</v>
      </c>
      <c r="C30" s="46">
        <f>464000+250000</f>
        <v>714000</v>
      </c>
      <c r="D30" s="46">
        <v>138384</v>
      </c>
      <c r="E30" s="46"/>
      <c r="F30" s="47">
        <f>C30-D30</f>
        <v>575616</v>
      </c>
      <c r="G30" s="22" t="s">
        <v>61</v>
      </c>
      <c r="H30" s="40"/>
      <c r="I30" s="40"/>
      <c r="J30" s="40">
        <f>F31+F25+F19+F14+376555+63630</f>
        <v>35626894</v>
      </c>
    </row>
    <row r="31" spans="1:10" s="17" customFormat="1" ht="17.25" customHeight="1" thickBot="1">
      <c r="A31" s="76" t="s">
        <v>19</v>
      </c>
      <c r="B31" s="82"/>
      <c r="C31" s="70">
        <f>SUM(C27:C30)</f>
        <v>1572000</v>
      </c>
      <c r="D31" s="70">
        <f>SUM(D27:D30)</f>
        <v>973949</v>
      </c>
      <c r="E31" s="70"/>
      <c r="F31" s="70">
        <f>SUM(F27:F30)</f>
        <v>598051</v>
      </c>
      <c r="G31" s="71"/>
    </row>
    <row r="32" spans="1:10" ht="3" customHeight="1" thickBot="1">
      <c r="A32" s="94"/>
      <c r="B32" s="95"/>
      <c r="C32" s="96"/>
      <c r="D32" s="96"/>
      <c r="E32" s="96"/>
      <c r="F32" s="96"/>
      <c r="G32" s="81"/>
    </row>
    <row r="33" spans="1:10" ht="23.25" thickBot="1">
      <c r="A33" s="44">
        <v>905486</v>
      </c>
      <c r="B33" s="45" t="s">
        <v>20</v>
      </c>
      <c r="C33" s="46">
        <v>889000</v>
      </c>
      <c r="D33" s="46">
        <v>711903</v>
      </c>
      <c r="E33" s="46"/>
      <c r="F33" s="47">
        <f t="shared" ref="F33:F39" si="0">C33-D33</f>
        <v>177097</v>
      </c>
      <c r="G33" s="22" t="s">
        <v>48</v>
      </c>
    </row>
    <row r="34" spans="1:10" ht="23.25" thickBot="1">
      <c r="A34" s="44">
        <v>906561</v>
      </c>
      <c r="B34" s="45" t="s">
        <v>62</v>
      </c>
      <c r="C34" s="46">
        <f>2200000-225000</f>
        <v>1975000</v>
      </c>
      <c r="D34" s="46">
        <v>1738539</v>
      </c>
      <c r="E34" s="46"/>
      <c r="F34" s="47">
        <f t="shared" si="0"/>
        <v>236461</v>
      </c>
      <c r="G34" s="22" t="s">
        <v>63</v>
      </c>
    </row>
    <row r="35" spans="1:10" ht="23.25" thickBot="1">
      <c r="A35" s="44">
        <v>907079</v>
      </c>
      <c r="B35" s="45" t="s">
        <v>88</v>
      </c>
      <c r="C35" s="46">
        <v>2200000</v>
      </c>
      <c r="D35" s="46">
        <v>1370944</v>
      </c>
      <c r="E35" s="46"/>
      <c r="F35" s="47">
        <f t="shared" si="0"/>
        <v>829056</v>
      </c>
      <c r="G35" s="22" t="s">
        <v>89</v>
      </c>
    </row>
    <row r="36" spans="1:10" ht="12" thickBot="1">
      <c r="A36" s="44">
        <v>905092</v>
      </c>
      <c r="B36" s="45" t="s">
        <v>21</v>
      </c>
      <c r="C36" s="46">
        <v>750000</v>
      </c>
      <c r="D36" s="46">
        <v>587403</v>
      </c>
      <c r="E36" s="46"/>
      <c r="F36" s="47">
        <f t="shared" si="0"/>
        <v>162597</v>
      </c>
      <c r="G36" s="22" t="s">
        <v>115</v>
      </c>
    </row>
    <row r="37" spans="1:10" ht="12" thickBot="1">
      <c r="A37" s="44">
        <v>906564</v>
      </c>
      <c r="B37" s="45" t="s">
        <v>64</v>
      </c>
      <c r="C37" s="46">
        <v>100000</v>
      </c>
      <c r="D37" s="46">
        <v>0</v>
      </c>
      <c r="E37" s="46"/>
      <c r="F37" s="47">
        <f t="shared" si="0"/>
        <v>100000</v>
      </c>
      <c r="G37" s="22" t="s">
        <v>119</v>
      </c>
    </row>
    <row r="38" spans="1:10" ht="12" thickBot="1">
      <c r="A38" s="44">
        <v>907081</v>
      </c>
      <c r="B38" s="45" t="s">
        <v>90</v>
      </c>
      <c r="C38" s="46">
        <v>250000</v>
      </c>
      <c r="D38" s="46">
        <v>0</v>
      </c>
      <c r="E38" s="46"/>
      <c r="F38" s="47">
        <f t="shared" si="0"/>
        <v>250000</v>
      </c>
      <c r="G38" s="22" t="s">
        <v>116</v>
      </c>
    </row>
    <row r="39" spans="1:10">
      <c r="A39" s="44">
        <v>904137</v>
      </c>
      <c r="B39" s="45" t="s">
        <v>22</v>
      </c>
      <c r="C39" s="46">
        <v>3650000</v>
      </c>
      <c r="D39" s="46">
        <v>3600529</v>
      </c>
      <c r="E39" s="46"/>
      <c r="F39" s="47">
        <f t="shared" si="0"/>
        <v>49471</v>
      </c>
      <c r="G39" s="90" t="s">
        <v>94</v>
      </c>
      <c r="H39" s="49"/>
    </row>
    <row r="40" spans="1:10" s="6" customFormat="1" ht="15.75" customHeight="1" thickBot="1">
      <c r="A40" s="76" t="s">
        <v>23</v>
      </c>
      <c r="B40" s="77"/>
      <c r="C40" s="83">
        <f>SUM(C33:C39)</f>
        <v>9814000</v>
      </c>
      <c r="D40" s="83">
        <f>SUM(D33:D39)</f>
        <v>8009318</v>
      </c>
      <c r="E40" s="83"/>
      <c r="F40" s="83">
        <f>SUM(F33:F39)</f>
        <v>1804682</v>
      </c>
      <c r="G40" s="84"/>
      <c r="H40" s="50"/>
      <c r="I40" s="50"/>
      <c r="J40" s="6">
        <f>1755211+49471</f>
        <v>1804682</v>
      </c>
    </row>
    <row r="41" spans="1:10" s="55" customFormat="1" ht="5.25" customHeight="1">
      <c r="A41" s="51"/>
      <c r="B41" s="52"/>
      <c r="C41" s="53"/>
      <c r="D41" s="53"/>
      <c r="E41" s="53"/>
      <c r="F41" s="53"/>
      <c r="G41" s="28"/>
      <c r="H41" s="54"/>
      <c r="I41" s="54"/>
    </row>
    <row r="42" spans="1:10" ht="23.25" thickBot="1">
      <c r="A42" s="41">
        <v>904518</v>
      </c>
      <c r="B42" s="42" t="s">
        <v>24</v>
      </c>
      <c r="C42" s="43">
        <v>1340000</v>
      </c>
      <c r="D42" s="56">
        <f>1257004.88+25124.83</f>
        <v>1282129.71</v>
      </c>
      <c r="E42" s="56"/>
      <c r="F42" s="43">
        <f t="shared" ref="F42:F59" si="1">C42-D42</f>
        <v>57870.290000000037</v>
      </c>
      <c r="G42" s="28" t="s">
        <v>69</v>
      </c>
    </row>
    <row r="43" spans="1:10" ht="24.75" customHeight="1" thickBot="1">
      <c r="A43" s="44">
        <v>905736</v>
      </c>
      <c r="B43" s="45" t="s">
        <v>25</v>
      </c>
      <c r="C43" s="46">
        <v>722000</v>
      </c>
      <c r="D43" s="46">
        <f>581119.88</f>
        <v>581119.88</v>
      </c>
      <c r="E43" s="46"/>
      <c r="F43" s="46">
        <f t="shared" si="1"/>
        <v>140880.12</v>
      </c>
      <c r="G43" s="57" t="s">
        <v>70</v>
      </c>
    </row>
    <row r="44" spans="1:10" ht="23.25" customHeight="1" thickBot="1">
      <c r="A44" s="44">
        <v>906048</v>
      </c>
      <c r="B44" s="45" t="s">
        <v>27</v>
      </c>
      <c r="C44" s="46">
        <v>1037000</v>
      </c>
      <c r="D44" s="46">
        <v>1012516.06</v>
      </c>
      <c r="E44" s="46"/>
      <c r="F44" s="46">
        <f t="shared" si="1"/>
        <v>24483.939999999944</v>
      </c>
      <c r="G44" s="57" t="s">
        <v>71</v>
      </c>
    </row>
    <row r="45" spans="1:10" ht="16.5" customHeight="1" thickBot="1">
      <c r="A45" s="44">
        <v>906049</v>
      </c>
      <c r="B45" s="45" t="s">
        <v>28</v>
      </c>
      <c r="C45" s="46">
        <v>1255000</v>
      </c>
      <c r="D45" s="46">
        <f>1156541.09+24066.24</f>
        <v>1180607.33</v>
      </c>
      <c r="E45" s="46"/>
      <c r="F45" s="46">
        <f t="shared" si="1"/>
        <v>74392.669999999925</v>
      </c>
      <c r="G45" s="57" t="s">
        <v>72</v>
      </c>
    </row>
    <row r="46" spans="1:10" ht="23.25" thickBot="1">
      <c r="A46" s="44">
        <v>906553</v>
      </c>
      <c r="B46" s="45" t="s">
        <v>49</v>
      </c>
      <c r="C46" s="46">
        <v>1000000</v>
      </c>
      <c r="D46" s="46">
        <f>717200.76+24406.94</f>
        <v>741607.7</v>
      </c>
      <c r="E46" s="46"/>
      <c r="F46" s="46">
        <f t="shared" ref="F46:F47" si="2">C46-D46</f>
        <v>258392.30000000005</v>
      </c>
      <c r="G46" s="57" t="s">
        <v>74</v>
      </c>
    </row>
    <row r="47" spans="1:10" ht="16.5" customHeight="1" thickBot="1">
      <c r="A47" s="44">
        <v>906554</v>
      </c>
      <c r="B47" s="45" t="s">
        <v>50</v>
      </c>
      <c r="C47" s="46">
        <v>700000</v>
      </c>
      <c r="D47" s="46">
        <f>591139.75+58383.34</f>
        <v>649523.09</v>
      </c>
      <c r="E47" s="46"/>
      <c r="F47" s="46">
        <f t="shared" si="2"/>
        <v>50476.910000000033</v>
      </c>
      <c r="G47" s="57" t="s">
        <v>26</v>
      </c>
    </row>
    <row r="48" spans="1:10" ht="45.75" thickBot="1">
      <c r="A48" s="44">
        <v>907073</v>
      </c>
      <c r="B48" s="45" t="s">
        <v>75</v>
      </c>
      <c r="C48" s="46">
        <v>1450000</v>
      </c>
      <c r="D48" s="46">
        <f>506974.51+47563.65</f>
        <v>554538.16</v>
      </c>
      <c r="E48" s="46"/>
      <c r="F48" s="46">
        <f t="shared" ref="F48" si="3">C48-D48</f>
        <v>895461.84</v>
      </c>
      <c r="G48" s="57" t="s">
        <v>80</v>
      </c>
    </row>
    <row r="49" spans="1:7" ht="45.75" thickBot="1">
      <c r="A49" s="44">
        <v>907488</v>
      </c>
      <c r="B49" s="45" t="s">
        <v>99</v>
      </c>
      <c r="C49" s="46">
        <v>1290000</v>
      </c>
      <c r="D49" s="46">
        <f>185686.56+82222.08</f>
        <v>267908.64</v>
      </c>
      <c r="E49" s="46"/>
      <c r="F49" s="46">
        <f t="shared" ref="F49" si="4">C49-D49</f>
        <v>1022091.36</v>
      </c>
      <c r="G49" s="57" t="s">
        <v>100</v>
      </c>
    </row>
    <row r="50" spans="1:7" ht="34.5" thickBot="1">
      <c r="A50" s="44">
        <v>905739</v>
      </c>
      <c r="B50" s="45" t="s">
        <v>29</v>
      </c>
      <c r="C50" s="46">
        <v>420000</v>
      </c>
      <c r="D50" s="46">
        <f>138152.22+42820.6</f>
        <v>180972.82</v>
      </c>
      <c r="E50" s="46"/>
      <c r="F50" s="46">
        <f t="shared" si="1"/>
        <v>239027.18</v>
      </c>
      <c r="G50" s="57" t="s">
        <v>67</v>
      </c>
    </row>
    <row r="51" spans="1:7" ht="23.25" thickBot="1">
      <c r="A51" s="44">
        <v>906211</v>
      </c>
      <c r="B51" s="45" t="s">
        <v>30</v>
      </c>
      <c r="C51" s="46">
        <v>382000</v>
      </c>
      <c r="D51" s="46">
        <f>306159.83+1450.24</f>
        <v>307610.07</v>
      </c>
      <c r="E51" s="46"/>
      <c r="F51" s="46">
        <f t="shared" si="1"/>
        <v>74389.929999999993</v>
      </c>
      <c r="G51" s="57" t="s">
        <v>73</v>
      </c>
    </row>
    <row r="52" spans="1:7" ht="23.25" thickBot="1">
      <c r="A52" s="44">
        <v>906556</v>
      </c>
      <c r="B52" s="45" t="s">
        <v>51</v>
      </c>
      <c r="C52" s="46">
        <v>320000</v>
      </c>
      <c r="D52" s="46">
        <f>169099.84+30426.24</f>
        <v>199526.08</v>
      </c>
      <c r="E52" s="46"/>
      <c r="F52" s="46">
        <f t="shared" ref="F52" si="5">C52-D52</f>
        <v>120473.92000000001</v>
      </c>
      <c r="G52" s="57" t="s">
        <v>92</v>
      </c>
    </row>
    <row r="53" spans="1:7" ht="12" thickBot="1">
      <c r="A53" s="44">
        <v>907075</v>
      </c>
      <c r="B53" s="45" t="s">
        <v>76</v>
      </c>
      <c r="C53" s="46">
        <v>350000</v>
      </c>
      <c r="D53" s="46">
        <f>273534.71+19438.7</f>
        <v>292973.41000000003</v>
      </c>
      <c r="E53" s="46"/>
      <c r="F53" s="46">
        <f t="shared" ref="F53" si="6">C53-D53</f>
        <v>57026.589999999967</v>
      </c>
      <c r="G53" s="57" t="s">
        <v>81</v>
      </c>
    </row>
    <row r="54" spans="1:7" ht="23.25" thickBot="1">
      <c r="A54" s="44">
        <v>906210</v>
      </c>
      <c r="B54" s="45" t="s">
        <v>31</v>
      </c>
      <c r="C54" s="46">
        <v>420000</v>
      </c>
      <c r="D54" s="59">
        <f>347382.24</f>
        <v>347382.24</v>
      </c>
      <c r="E54" s="59"/>
      <c r="F54" s="58">
        <f t="shared" si="1"/>
        <v>72617.760000000009</v>
      </c>
      <c r="G54" s="57" t="s">
        <v>68</v>
      </c>
    </row>
    <row r="55" spans="1:7" ht="34.5" thickBot="1">
      <c r="A55" s="44">
        <v>906555</v>
      </c>
      <c r="B55" s="45" t="s">
        <v>52</v>
      </c>
      <c r="C55" s="46">
        <v>837000</v>
      </c>
      <c r="D55" s="59">
        <f>810049.96</f>
        <v>810049.96</v>
      </c>
      <c r="E55" s="59"/>
      <c r="F55" s="58">
        <f t="shared" ref="F55" si="7">C55-D55</f>
        <v>26950.040000000037</v>
      </c>
      <c r="G55" s="57" t="s">
        <v>93</v>
      </c>
    </row>
    <row r="56" spans="1:7" ht="23.25" thickBot="1">
      <c r="A56" s="44">
        <v>907074</v>
      </c>
      <c r="B56" s="45" t="s">
        <v>77</v>
      </c>
      <c r="C56" s="46">
        <v>650000</v>
      </c>
      <c r="D56" s="59">
        <f>463152.3+138257.97</f>
        <v>601410.27</v>
      </c>
      <c r="E56" s="59"/>
      <c r="F56" s="58">
        <f t="shared" ref="F56:F58" si="8">C56-D56</f>
        <v>48589.729999999981</v>
      </c>
      <c r="G56" s="57" t="s">
        <v>82</v>
      </c>
    </row>
    <row r="57" spans="1:7" ht="34.5" thickBot="1">
      <c r="A57" s="44">
        <v>907489</v>
      </c>
      <c r="B57" s="45" t="s">
        <v>101</v>
      </c>
      <c r="C57" s="46">
        <v>765000</v>
      </c>
      <c r="D57" s="59">
        <f>7674.44+12708.72</f>
        <v>20383.16</v>
      </c>
      <c r="E57" s="59"/>
      <c r="F57" s="58">
        <f t="shared" si="8"/>
        <v>744616.84</v>
      </c>
      <c r="G57" s="57" t="s">
        <v>102</v>
      </c>
    </row>
    <row r="58" spans="1:7" ht="23.25" thickBot="1">
      <c r="A58" s="44">
        <v>904133</v>
      </c>
      <c r="B58" s="45" t="s">
        <v>32</v>
      </c>
      <c r="C58" s="46">
        <v>1370000</v>
      </c>
      <c r="D58" s="59">
        <v>1192141.76</v>
      </c>
      <c r="E58" s="59"/>
      <c r="F58" s="46">
        <f t="shared" si="8"/>
        <v>177858.24</v>
      </c>
      <c r="G58" s="57" t="s">
        <v>66</v>
      </c>
    </row>
    <row r="59" spans="1:7" ht="22.5">
      <c r="A59" s="44">
        <v>907495</v>
      </c>
      <c r="B59" s="45" t="s">
        <v>103</v>
      </c>
      <c r="C59" s="46">
        <v>1000000</v>
      </c>
      <c r="D59" s="59">
        <v>0</v>
      </c>
      <c r="E59" s="59"/>
      <c r="F59" s="46">
        <f t="shared" si="1"/>
        <v>1000000</v>
      </c>
      <c r="G59" s="57" t="s">
        <v>104</v>
      </c>
    </row>
    <row r="60" spans="1:7" ht="15" customHeight="1" thickBot="1">
      <c r="A60" s="76" t="s">
        <v>33</v>
      </c>
      <c r="B60" s="77"/>
      <c r="C60" s="83">
        <f>SUM(C42:C59)</f>
        <v>15308000</v>
      </c>
      <c r="D60" s="83">
        <f>SUM(D42:D59)</f>
        <v>10222400.34</v>
      </c>
      <c r="E60" s="83"/>
      <c r="F60" s="83">
        <f>SUM(F42:F59)</f>
        <v>5085599.6599999992</v>
      </c>
      <c r="G60" s="71"/>
    </row>
    <row r="61" spans="1:7" s="17" customFormat="1" ht="5.25" customHeight="1">
      <c r="A61" s="94"/>
      <c r="B61" s="95"/>
      <c r="C61" s="96"/>
      <c r="D61" s="96"/>
      <c r="E61" s="96"/>
      <c r="F61" s="96"/>
      <c r="G61" s="81"/>
    </row>
    <row r="62" spans="1:7" ht="22.5">
      <c r="A62" s="41">
        <v>906047</v>
      </c>
      <c r="B62" s="42" t="s">
        <v>34</v>
      </c>
      <c r="C62" s="43">
        <f>1144000-245000</f>
        <v>899000</v>
      </c>
      <c r="D62" s="43">
        <v>863815.96</v>
      </c>
      <c r="E62" s="43"/>
      <c r="F62" s="43">
        <f>C62-D62</f>
        <v>35184.040000000037</v>
      </c>
      <c r="G62" s="28" t="s">
        <v>35</v>
      </c>
    </row>
    <row r="63" spans="1:7" ht="15" customHeight="1" thickBot="1">
      <c r="A63" s="76" t="s">
        <v>36</v>
      </c>
      <c r="B63" s="77"/>
      <c r="C63" s="83">
        <f>SUM(C62:C62)</f>
        <v>899000</v>
      </c>
      <c r="D63" s="83">
        <f>SUM(D62:D62)</f>
        <v>863815.96</v>
      </c>
      <c r="E63" s="83"/>
      <c r="F63" s="83">
        <f>SUM(F62:F62)</f>
        <v>35184.040000000037</v>
      </c>
      <c r="G63" s="71"/>
    </row>
    <row r="64" spans="1:7" s="17" customFormat="1" ht="5.25" customHeight="1">
      <c r="A64" s="94"/>
      <c r="B64" s="95"/>
      <c r="C64" s="96"/>
      <c r="D64" s="96"/>
      <c r="E64" s="96"/>
      <c r="F64" s="96"/>
      <c r="G64" s="81"/>
    </row>
    <row r="65" spans="1:7" ht="25.5" customHeight="1" thickBot="1">
      <c r="A65" s="41">
        <v>906046</v>
      </c>
      <c r="B65" s="42" t="s">
        <v>37</v>
      </c>
      <c r="C65" s="43">
        <v>2283000</v>
      </c>
      <c r="D65" s="91">
        <f>2276424.78+6575</f>
        <v>2282999.7799999998</v>
      </c>
      <c r="E65" s="91"/>
      <c r="F65" s="43">
        <f>C65-D65</f>
        <v>0.22000000020489097</v>
      </c>
      <c r="G65" s="93" t="s">
        <v>94</v>
      </c>
    </row>
    <row r="66" spans="1:7" ht="12" thickBot="1">
      <c r="A66" s="44">
        <v>906552</v>
      </c>
      <c r="B66" s="45" t="s">
        <v>53</v>
      </c>
      <c r="C66" s="46">
        <v>2586304</v>
      </c>
      <c r="D66" s="59">
        <f>2517852.03-6575+75027</f>
        <v>2586304.0299999998</v>
      </c>
      <c r="E66" s="59"/>
      <c r="F66" s="46">
        <f>C66-D66</f>
        <v>-2.9999999795109034E-2</v>
      </c>
      <c r="G66" s="93" t="s">
        <v>94</v>
      </c>
    </row>
    <row r="67" spans="1:7" ht="12" thickBot="1">
      <c r="A67" s="44">
        <v>907072</v>
      </c>
      <c r="B67" s="45" t="s">
        <v>107</v>
      </c>
      <c r="C67" s="46">
        <v>2560000</v>
      </c>
      <c r="D67" s="59">
        <f>2367767.41+67624.72-75027</f>
        <v>2360365.1300000004</v>
      </c>
      <c r="E67" s="59"/>
      <c r="F67" s="46">
        <f>C67-D67</f>
        <v>199634.86999999965</v>
      </c>
      <c r="G67" s="57" t="s">
        <v>117</v>
      </c>
    </row>
    <row r="68" spans="1:7" ht="22.5">
      <c r="A68" s="44">
        <v>907487</v>
      </c>
      <c r="B68" s="45" t="s">
        <v>108</v>
      </c>
      <c r="C68" s="46">
        <v>2850000</v>
      </c>
      <c r="D68" s="59">
        <f>536923.43+80429.42</f>
        <v>617352.85000000009</v>
      </c>
      <c r="E68" s="59"/>
      <c r="F68" s="46">
        <f>C68-D68</f>
        <v>2232647.15</v>
      </c>
      <c r="G68" s="57" t="s">
        <v>112</v>
      </c>
    </row>
    <row r="69" spans="1:7" s="6" customFormat="1" ht="15" customHeight="1" thickBot="1">
      <c r="A69" s="76" t="s">
        <v>38</v>
      </c>
      <c r="B69" s="77"/>
      <c r="C69" s="83">
        <f>SUM(C65:C68)</f>
        <v>10279304</v>
      </c>
      <c r="D69" s="83">
        <f>SUM(D65:D68)</f>
        <v>7847021.7899999991</v>
      </c>
      <c r="E69" s="83"/>
      <c r="F69" s="83">
        <f>SUM(F65:F68)</f>
        <v>2432282.21</v>
      </c>
      <c r="G69" s="71"/>
    </row>
    <row r="70" spans="1:7" s="17" customFormat="1" ht="5.25" customHeight="1">
      <c r="A70" s="41"/>
      <c r="B70" s="42"/>
      <c r="C70" s="43"/>
      <c r="D70" s="43"/>
      <c r="E70" s="43"/>
      <c r="F70" s="43"/>
      <c r="G70" s="28"/>
    </row>
    <row r="71" spans="1:7" ht="23.25" thickBot="1">
      <c r="A71" s="60">
        <v>903806</v>
      </c>
      <c r="B71" s="61" t="s">
        <v>39</v>
      </c>
      <c r="C71" s="62">
        <v>300000</v>
      </c>
      <c r="D71" s="62">
        <v>232396.5</v>
      </c>
      <c r="E71" s="62"/>
      <c r="F71" s="62">
        <f t="shared" ref="F71:F78" si="9">C71-D71</f>
        <v>67603.5</v>
      </c>
      <c r="G71" s="92" t="s">
        <v>65</v>
      </c>
    </row>
    <row r="72" spans="1:7" s="6" customFormat="1" ht="12" thickBot="1">
      <c r="A72" s="44">
        <v>903450</v>
      </c>
      <c r="B72" s="45" t="s">
        <v>40</v>
      </c>
      <c r="C72" s="46">
        <v>7905711</v>
      </c>
      <c r="D72" s="46">
        <v>292578.8</v>
      </c>
      <c r="E72" s="46"/>
      <c r="F72" s="46">
        <f t="shared" si="9"/>
        <v>7613132.2000000002</v>
      </c>
      <c r="G72" s="57" t="s">
        <v>41</v>
      </c>
    </row>
    <row r="73" spans="1:7" s="6" customFormat="1" ht="23.25" thickBot="1">
      <c r="A73" s="44">
        <v>903452</v>
      </c>
      <c r="B73" s="45" t="s">
        <v>42</v>
      </c>
      <c r="C73" s="46">
        <v>2900000</v>
      </c>
      <c r="D73" s="46">
        <v>163.89</v>
      </c>
      <c r="E73" s="46"/>
      <c r="F73" s="46">
        <f t="shared" si="9"/>
        <v>2899836.11</v>
      </c>
      <c r="G73" s="57" t="s">
        <v>43</v>
      </c>
    </row>
    <row r="74" spans="1:7" s="6" customFormat="1" ht="12" thickBot="1">
      <c r="A74" s="44">
        <v>906214</v>
      </c>
      <c r="B74" s="45" t="s">
        <v>44</v>
      </c>
      <c r="C74" s="46">
        <v>215000</v>
      </c>
      <c r="D74" s="46">
        <v>150000</v>
      </c>
      <c r="E74" s="46"/>
      <c r="F74" s="46">
        <f t="shared" si="9"/>
        <v>65000</v>
      </c>
      <c r="G74" s="57" t="s">
        <v>85</v>
      </c>
    </row>
    <row r="75" spans="1:7" s="6" customFormat="1" ht="23.25" thickBot="1">
      <c r="A75" s="44">
        <v>906557</v>
      </c>
      <c r="B75" s="45" t="s">
        <v>54</v>
      </c>
      <c r="C75" s="46">
        <v>932000</v>
      </c>
      <c r="D75" s="46">
        <v>868204.74</v>
      </c>
      <c r="E75" s="46"/>
      <c r="F75" s="46">
        <f t="shared" ref="F75" si="10">C75-D75</f>
        <v>63795.260000000009</v>
      </c>
      <c r="G75" s="57" t="s">
        <v>55</v>
      </c>
    </row>
    <row r="76" spans="1:7" s="6" customFormat="1" ht="34.5" thickBot="1">
      <c r="A76" s="44">
        <v>907077</v>
      </c>
      <c r="B76" s="45" t="s">
        <v>78</v>
      </c>
      <c r="C76" s="46">
        <v>600000</v>
      </c>
      <c r="D76" s="46">
        <f>325951.36+18.32</f>
        <v>325969.68</v>
      </c>
      <c r="E76" s="46"/>
      <c r="F76" s="46">
        <f t="shared" ref="F76:F77" si="11">C76-D76</f>
        <v>274030.32</v>
      </c>
      <c r="G76" s="57" t="s">
        <v>96</v>
      </c>
    </row>
    <row r="77" spans="1:7" s="6" customFormat="1" ht="23.25" thickBot="1">
      <c r="A77" s="44">
        <v>906213</v>
      </c>
      <c r="B77" s="45" t="s">
        <v>45</v>
      </c>
      <c r="C77" s="46">
        <f>2275000+370000</f>
        <v>2645000</v>
      </c>
      <c r="D77" s="46">
        <f>1541385.91+296589.43</f>
        <v>1837975.3399999999</v>
      </c>
      <c r="E77" s="46"/>
      <c r="F77" s="46">
        <f t="shared" si="11"/>
        <v>807024.66000000015</v>
      </c>
      <c r="G77" s="57" t="s">
        <v>84</v>
      </c>
    </row>
    <row r="78" spans="1:7" s="6" customFormat="1">
      <c r="A78" s="44">
        <v>907076</v>
      </c>
      <c r="B78" s="45" t="s">
        <v>79</v>
      </c>
      <c r="C78" s="46">
        <v>500000</v>
      </c>
      <c r="D78" s="46">
        <f>134768.96+88451.7</f>
        <v>223220.65999999997</v>
      </c>
      <c r="E78" s="46"/>
      <c r="F78" s="46">
        <f t="shared" si="9"/>
        <v>276779.34000000003</v>
      </c>
      <c r="G78" s="57" t="s">
        <v>83</v>
      </c>
    </row>
    <row r="79" spans="1:7" ht="15" customHeight="1" thickBot="1">
      <c r="A79" s="76" t="s">
        <v>46</v>
      </c>
      <c r="B79" s="77"/>
      <c r="C79" s="83">
        <f>SUM(C71:C78)</f>
        <v>15997711</v>
      </c>
      <c r="D79" s="83">
        <f>SUM(D71:D78)</f>
        <v>3930509.6100000003</v>
      </c>
      <c r="E79" s="83"/>
      <c r="F79" s="83">
        <f>SUM(F71:F78)</f>
        <v>12067201.390000001</v>
      </c>
      <c r="G79" s="71"/>
    </row>
    <row r="80" spans="1:7" ht="15" customHeight="1" thickBot="1">
      <c r="A80" s="85" t="s">
        <v>47</v>
      </c>
      <c r="B80" s="86"/>
      <c r="C80" s="87">
        <f>SUM(C13:C79)/2</f>
        <v>93353000</v>
      </c>
      <c r="D80" s="87">
        <f>SUM(D13:D79)/2</f>
        <v>38037752.200000003</v>
      </c>
      <c r="E80" s="87"/>
      <c r="F80" s="87">
        <f>SUM(F13:F79)/2</f>
        <v>55315247.800000027</v>
      </c>
      <c r="G80" s="88"/>
    </row>
    <row r="81" spans="1:7">
      <c r="A81" s="63"/>
      <c r="B81" s="63"/>
      <c r="C81" s="64"/>
      <c r="D81" s="64"/>
      <c r="E81" s="64"/>
      <c r="F81" s="64"/>
      <c r="G81" s="65"/>
    </row>
    <row r="82" spans="1:7" ht="15" customHeight="1"/>
    <row r="83" spans="1:7" ht="15" customHeight="1"/>
    <row r="84" spans="1:7" ht="15" customHeight="1">
      <c r="D84" s="101"/>
    </row>
    <row r="85" spans="1:7" ht="15" customHeight="1">
      <c r="D85" s="101"/>
    </row>
    <row r="86" spans="1:7" ht="15" customHeight="1"/>
    <row r="87" spans="1:7" ht="15" customHeight="1"/>
    <row r="88" spans="1:7" ht="15" customHeight="1"/>
  </sheetData>
  <mergeCells count="6">
    <mergeCell ref="A1:G1"/>
    <mergeCell ref="A2:G2"/>
    <mergeCell ref="A3:G3"/>
    <mergeCell ref="A6:B6"/>
    <mergeCell ref="A9:B9"/>
    <mergeCell ref="A4:G4"/>
  </mergeCells>
  <printOptions horizontalCentered="1"/>
  <pageMargins left="0.196850393700787" right="0.196850393700787" top="0.47" bottom="0.34" header="0.27" footer="0.196850393700787"/>
  <pageSetup scale="80" orientation="portrait" horizontalDpi="300" verticalDpi="300" r:id="rId1"/>
  <headerFooter differentOddEven="1" differentFirst="1" alignWithMargins="0">
    <oddHeader>&amp;C&amp;"Arial,Bold"&amp;12 199&amp;R&amp;"Arial,Bold"&amp;12&amp;UANNEX C</oddHeader>
    <oddFooter xml:space="preserve">&amp;R&amp;"Arial,Bold"&amp;8
</oddFooter>
    <evenHeader>&amp;C&amp;"Arial,Bold"&amp;12 198</evenHeader>
    <firstHeader>&amp;C&amp;"Arial,Bold"&amp;12 197</firstHeader>
  </headerFooter>
  <rowBreaks count="2" manualBreakCount="2">
    <brk id="40" max="6" man="1"/>
    <brk id="6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Capital Projects</vt:lpstr>
      <vt:lpstr>'Capital Projects'!Print_Area</vt:lpstr>
      <vt:lpstr>'Capital Projects'!Print_Titles</vt:lpstr>
    </vt:vector>
  </TitlesOfParts>
  <Company>Ottawa Police Service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Sheila Hamilton</dc:creator>
  <cp:lastModifiedBy>ITS</cp:lastModifiedBy>
  <cp:lastPrinted>2014-07-23T13:13:26Z</cp:lastPrinted>
  <dcterms:created xsi:type="dcterms:W3CDTF">2011-06-30T12:13:12Z</dcterms:created>
  <dcterms:modified xsi:type="dcterms:W3CDTF">2014-07-23T14:34:55Z</dcterms:modified>
</cp:coreProperties>
</file>